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Ron\Documents\U.S. Power Vision, LLC\Marketing\2. The Fabulous Lighting Maven\8. Costs &amp; Benefits\"/>
    </mc:Choice>
  </mc:AlternateContent>
  <xr:revisionPtr revIDLastSave="0" documentId="8_{AE88B38E-D56C-48FB-BE44-F06B0EC08925}" xr6:coauthVersionLast="47" xr6:coauthVersionMax="47" xr10:uidLastSave="{00000000-0000-0000-0000-000000000000}"/>
  <bookViews>
    <workbookView xWindow="-96" yWindow="-96" windowWidth="23232" windowHeight="12552" xr2:uid="{937F9425-6492-48E0-9B66-80B95ED0EA9E}"/>
  </bookViews>
  <sheets>
    <sheet name="Sheet1" sheetId="1" r:id="rId1"/>
  </sheets>
  <externalReferences>
    <externalReference r:id="rId2"/>
  </externalReferences>
  <definedNames>
    <definedName name="TaxRate_1">Sheet1!$E$27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2" i="1" l="1"/>
  <c r="P46" i="1" l="1"/>
  <c r="O46" i="1"/>
  <c r="N46" i="1"/>
  <c r="M46" i="1"/>
  <c r="L46" i="1"/>
  <c r="K46" i="1"/>
  <c r="J46" i="1"/>
  <c r="I46" i="1"/>
  <c r="H46" i="1"/>
  <c r="G46" i="1"/>
  <c r="F46" i="1"/>
  <c r="I38" i="1"/>
  <c r="H38" i="1"/>
  <c r="G38" i="1"/>
  <c r="Q38" i="1" s="1"/>
  <c r="I36" i="1"/>
  <c r="H36" i="1"/>
  <c r="G36" i="1"/>
  <c r="K21" i="1"/>
  <c r="S21" i="1"/>
  <c r="P21" i="1"/>
  <c r="N21" i="1"/>
  <c r="M21" i="1"/>
  <c r="L21" i="1"/>
  <c r="H21" i="1"/>
  <c r="H15" i="1"/>
  <c r="H14" i="1"/>
  <c r="I14" i="1" s="1"/>
  <c r="J14" i="1" s="1"/>
  <c r="K14" i="1" s="1"/>
  <c r="L14" i="1" s="1"/>
  <c r="M14" i="1" s="1"/>
  <c r="N14" i="1" s="1"/>
  <c r="O14" i="1" s="1"/>
  <c r="P14" i="1" s="1"/>
  <c r="G19" i="1"/>
  <c r="H12" i="1"/>
  <c r="I12" i="1" s="1"/>
  <c r="Q9" i="1"/>
  <c r="F19" i="1"/>
  <c r="L3" i="1"/>
  <c r="B3" i="1"/>
  <c r="O2" i="1"/>
  <c r="Q36" i="1" l="1"/>
  <c r="Q14" i="1"/>
  <c r="I15" i="1"/>
  <c r="J15" i="1" s="1"/>
  <c r="K15" i="1" s="1"/>
  <c r="L15" i="1" s="1"/>
  <c r="M15" i="1" s="1"/>
  <c r="N15" i="1" s="1"/>
  <c r="O15" i="1" s="1"/>
  <c r="P15" i="1" s="1"/>
  <c r="J12" i="1"/>
  <c r="H13" i="1"/>
  <c r="H16" i="1"/>
  <c r="I16" i="1" s="1"/>
  <c r="J16" i="1" s="1"/>
  <c r="K16" i="1" s="1"/>
  <c r="L16" i="1" s="1"/>
  <c r="M16" i="1" s="1"/>
  <c r="N16" i="1" s="1"/>
  <c r="O16" i="1" s="1"/>
  <c r="P16" i="1" s="1"/>
  <c r="G21" i="1"/>
  <c r="O21" i="1"/>
  <c r="Q32" i="1"/>
  <c r="H17" i="1"/>
  <c r="I17" i="1" s="1"/>
  <c r="J17" i="1" s="1"/>
  <c r="K17" i="1" s="1"/>
  <c r="L17" i="1" s="1"/>
  <c r="M17" i="1" s="1"/>
  <c r="N17" i="1" s="1"/>
  <c r="O17" i="1" s="1"/>
  <c r="P17" i="1" s="1"/>
  <c r="I21" i="1"/>
  <c r="Q34" i="1"/>
  <c r="J21" i="1"/>
  <c r="F23" i="1"/>
  <c r="F25" i="1" s="1"/>
  <c r="M23" i="1" l="1"/>
  <c r="M40" i="1" s="1"/>
  <c r="Q16" i="1"/>
  <c r="Q17" i="1"/>
  <c r="P23" i="1"/>
  <c r="P40" i="1" s="1"/>
  <c r="G23" i="1"/>
  <c r="F40" i="1"/>
  <c r="K23" i="1"/>
  <c r="K40" i="1" s="1"/>
  <c r="O23" i="1"/>
  <c r="O40" i="1" s="1"/>
  <c r="S23" i="1"/>
  <c r="S25" i="1" s="1"/>
  <c r="S27" i="1" s="1"/>
  <c r="H23" i="1"/>
  <c r="H40" i="1" s="1"/>
  <c r="I23" i="1"/>
  <c r="I40" i="1" s="1"/>
  <c r="J23" i="1"/>
  <c r="J40" i="1" s="1"/>
  <c r="F27" i="1"/>
  <c r="F29" i="1" s="1"/>
  <c r="Q21" i="1"/>
  <c r="L23" i="1"/>
  <c r="L40" i="1" s="1"/>
  <c r="Q15" i="1"/>
  <c r="H19" i="1"/>
  <c r="I13" i="1"/>
  <c r="K12" i="1"/>
  <c r="N23" i="1"/>
  <c r="N40" i="1" s="1"/>
  <c r="Q23" i="1" l="1"/>
  <c r="G25" i="1"/>
  <c r="G27" i="1" s="1"/>
  <c r="F42" i="1"/>
  <c r="H25" i="1"/>
  <c r="L12" i="1"/>
  <c r="J13" i="1"/>
  <c r="I19" i="1"/>
  <c r="I25" i="1" s="1"/>
  <c r="G40" i="1"/>
  <c r="Q40" i="1" s="1"/>
  <c r="M12" i="1" l="1"/>
  <c r="G29" i="1"/>
  <c r="H27" i="1"/>
  <c r="I27" i="1"/>
  <c r="I29" i="1" s="1"/>
  <c r="I42" i="1" s="1"/>
  <c r="F44" i="1"/>
  <c r="F48" i="1"/>
  <c r="K13" i="1"/>
  <c r="J19" i="1"/>
  <c r="I48" i="1" l="1"/>
  <c r="G42" i="1"/>
  <c r="L13" i="1"/>
  <c r="K19" i="1"/>
  <c r="K25" i="1" s="1"/>
  <c r="F55" i="1"/>
  <c r="G55" i="1" s="1"/>
  <c r="N12" i="1"/>
  <c r="J25" i="1"/>
  <c r="H29" i="1"/>
  <c r="H42" i="1" s="1"/>
  <c r="K27" i="1" l="1"/>
  <c r="K29" i="1" s="1"/>
  <c r="K42" i="1" s="1"/>
  <c r="H48" i="1"/>
  <c r="M13" i="1"/>
  <c r="L19" i="1"/>
  <c r="L25" i="1" s="1"/>
  <c r="J27" i="1"/>
  <c r="J29" i="1" s="1"/>
  <c r="O12" i="1"/>
  <c r="G44" i="1"/>
  <c r="H44" i="1" s="1"/>
  <c r="I44" i="1" s="1"/>
  <c r="G48" i="1"/>
  <c r="H55" i="1"/>
  <c r="G53" i="1"/>
  <c r="K48" i="1" l="1"/>
  <c r="N13" i="1"/>
  <c r="M19" i="1"/>
  <c r="M25" i="1" s="1"/>
  <c r="L27" i="1"/>
  <c r="L29" i="1" s="1"/>
  <c r="P12" i="1"/>
  <c r="I55" i="1"/>
  <c r="H53" i="1"/>
  <c r="J42" i="1"/>
  <c r="L42" i="1" l="1"/>
  <c r="J48" i="1"/>
  <c r="J44" i="1"/>
  <c r="K44" i="1" s="1"/>
  <c r="I53" i="1"/>
  <c r="J55" i="1"/>
  <c r="O13" i="1"/>
  <c r="N19" i="1"/>
  <c r="N25" i="1" s="1"/>
  <c r="Q12" i="1"/>
  <c r="M27" i="1"/>
  <c r="M29" i="1" s="1"/>
  <c r="M42" i="1" l="1"/>
  <c r="J53" i="1"/>
  <c r="K55" i="1"/>
  <c r="N27" i="1"/>
  <c r="N29" i="1" s="1"/>
  <c r="N42" i="1" s="1"/>
  <c r="L44" i="1"/>
  <c r="L48" i="1"/>
  <c r="P13" i="1"/>
  <c r="O19" i="1"/>
  <c r="O25" i="1" s="1"/>
  <c r="N48" i="1" l="1"/>
  <c r="K53" i="1"/>
  <c r="L55" i="1"/>
  <c r="O27" i="1"/>
  <c r="O29" i="1" s="1"/>
  <c r="O42" i="1" s="1"/>
  <c r="Q13" i="1"/>
  <c r="P19" i="1"/>
  <c r="M44" i="1"/>
  <c r="N44" i="1" s="1"/>
  <c r="M48" i="1"/>
  <c r="O44" i="1" l="1"/>
  <c r="O48" i="1"/>
  <c r="P25" i="1"/>
  <c r="Q19" i="1"/>
  <c r="L53" i="1"/>
  <c r="M55" i="1"/>
  <c r="M53" i="1" l="1"/>
  <c r="N55" i="1"/>
  <c r="P27" i="1"/>
  <c r="Q27" i="1" s="1"/>
  <c r="Q25" i="1"/>
  <c r="P29" i="1" l="1"/>
  <c r="N53" i="1"/>
  <c r="O55" i="1"/>
  <c r="P55" i="1" l="1"/>
  <c r="O53" i="1"/>
  <c r="P42" i="1"/>
  <c r="Q29" i="1"/>
  <c r="Q42" i="1" s="1"/>
  <c r="P44" i="1" l="1"/>
  <c r="P48" i="1"/>
  <c r="Q48" i="1" s="1"/>
  <c r="Q50" i="1"/>
  <c r="Q55" i="1"/>
  <c r="P53" i="1"/>
</calcChain>
</file>

<file path=xl/sharedStrings.xml><?xml version="1.0" encoding="utf-8"?>
<sst xmlns="http://schemas.openxmlformats.org/spreadsheetml/2006/main" count="35" uniqueCount="35">
  <si>
    <t>Life-Cycle Cost Benefit Analysis</t>
  </si>
  <si>
    <t>As of:</t>
  </si>
  <si>
    <t>Year</t>
  </si>
  <si>
    <t>Startup</t>
  </si>
  <si>
    <t>Total</t>
  </si>
  <si>
    <t>Income</t>
  </si>
  <si>
    <t>Utility Company Rebate(s)</t>
  </si>
  <si>
    <t>Avoided Cost</t>
  </si>
  <si>
    <t>Direct Avoided Lighting Cost</t>
  </si>
  <si>
    <t>Impact of Lighting on HVAC Cost</t>
  </si>
  <si>
    <t>Direct Avoided HVAC Control Cost</t>
  </si>
  <si>
    <t>Direct Avoided Plug Load Cost</t>
  </si>
  <si>
    <t>Impact of Lighting on Refrigeration Cost</t>
  </si>
  <si>
    <t>Avoided Maintenance Cost</t>
  </si>
  <si>
    <t>Depreciation, 39-Year Property</t>
  </si>
  <si>
    <t>Depreciation, 15-Year Property</t>
  </si>
  <si>
    <t>Operating Income</t>
  </si>
  <si>
    <t>Tax</t>
  </si>
  <si>
    <t>: Tax Impact of Bonus Depreciation</t>
  </si>
  <si>
    <t>Net Income</t>
  </si>
  <si>
    <t>Cash Flow</t>
  </si>
  <si>
    <t>Capital Expenditure - Interior Equipment</t>
  </si>
  <si>
    <t>Capital Expenditure - Exterior Equipment</t>
  </si>
  <si>
    <t>Third Party Funding</t>
  </si>
  <si>
    <t>Add Back Depreciation</t>
  </si>
  <si>
    <t>Net Cash Flow</t>
  </si>
  <si>
    <t>Cumulative Net Cash Flow</t>
  </si>
  <si>
    <t>Cost of Capital / Present Value Factor</t>
  </si>
  <si>
    <t>Present Value of Cash Flows</t>
  </si>
  <si>
    <t>Internal Rate of Return</t>
  </si>
  <si>
    <t>Simple Payback (Years)</t>
  </si>
  <si>
    <t>Cumulative Income</t>
  </si>
  <si>
    <t>These analytics and any attachments are confidential and intended solely for our client.  The information is owned by U.S. Power Company, Inc. and is legally privileged.  It has been provided in trust, for the sole purpose of viewing by, and interaction with, our client.  Any reproduction or dissemination of the information contained herein, or any use by others, is strictly prohibited without the express written consent of U.S. Power Company, Inc., 1963 Park Avenue, Twin Lake, Michigan, 49457, (616) 570-9319.  Abacus is a trademark of U.S. Power Company, Inc.</t>
  </si>
  <si>
    <t>Sq. Footage:</t>
  </si>
  <si>
    <t>Contractor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</si>
</sst>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3" formatCode="_(* #,##0.00_);_(* \(#,##0.00\);_(* &quot;-&quot;??_);_(@_)"/>
    <numFmt numFmtId="164" formatCode="[$-409]mmmm\ d\,\ yyyy;@"/>
    <numFmt numFmtId="165" formatCode="_(* #,##0_);_(* \(#,##0\);_(* &quot;-&quot;??_);_(@_)"/>
    <numFmt numFmtId="166" formatCode="0.0%"/>
  </numFmts>
  <fonts count="9" x14ac:knownFonts="1">
    <font>
      <sz val="11"/>
      <color theme="1"/>
      <name val="Calibri"/>
      <family val="2"/>
      <scheme val="minor"/>
    </font>
    <font>
      <sz val="11"/>
      <name val="Calibri"/>
      <family val="2"/>
    </font>
    <font>
      <sz val="11"/>
      <color rgb="FF000000"/>
      <name val="Calibri"/>
      <family val="2"/>
    </font>
    <font>
      <b/>
      <sz val="11"/>
      <name val="Calibri"/>
      <family val="2"/>
    </font>
    <font>
      <b/>
      <sz val="11"/>
      <color rgb="FF000000"/>
      <name val="Calibri"/>
      <family val="2"/>
    </font>
    <font>
      <sz val="11"/>
      <color rgb="FF538DD5"/>
      <name val="Calibri"/>
      <family val="2"/>
    </font>
    <font>
      <sz val="12"/>
      <color rgb="FF000000"/>
      <name val="Calibri"/>
      <family val="2"/>
    </font>
    <font>
      <sz val="11"/>
      <color theme="1"/>
      <name val="Calibri"/>
      <family val="2"/>
    </font>
    <font>
      <b/>
      <sz val="10"/>
      <color rgb="FF000000"/>
      <name val="Calibri"/>
      <family val="2"/>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xf numFmtId="0" fontId="2" fillId="0" borderId="0" xfId="0" applyFont="1"/>
    <xf numFmtId="0" fontId="3" fillId="0" borderId="0" xfId="0" applyFont="1"/>
    <xf numFmtId="164" fontId="3" fillId="0" borderId="0" xfId="0" applyNumberFormat="1" applyFont="1" applyAlignment="1">
      <alignment horizontal="left"/>
    </xf>
    <xf numFmtId="0" fontId="1"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1" fillId="0" borderId="0" xfId="0" applyFont="1" applyAlignment="1">
      <alignment vertical="top"/>
    </xf>
    <xf numFmtId="0" fontId="3" fillId="0" borderId="0" xfId="0" applyFont="1" applyAlignment="1">
      <alignment vertical="top"/>
    </xf>
    <xf numFmtId="165" fontId="1" fillId="0" borderId="0" xfId="0" applyNumberFormat="1" applyFont="1" applyAlignment="1">
      <alignment vertical="top"/>
    </xf>
    <xf numFmtId="165" fontId="2" fillId="0" borderId="0" xfId="0" applyNumberFormat="1" applyFont="1"/>
    <xf numFmtId="0" fontId="1" fillId="0" borderId="0" xfId="0" applyFont="1" applyAlignment="1" applyProtection="1">
      <alignment vertical="top"/>
      <protection locked="0"/>
    </xf>
    <xf numFmtId="166" fontId="5" fillId="0" borderId="0" xfId="0" applyNumberFormat="1" applyFont="1" applyAlignment="1" applyProtection="1">
      <alignment vertical="top"/>
      <protection locked="0"/>
    </xf>
    <xf numFmtId="165" fontId="1" fillId="0" borderId="0" xfId="0" applyNumberFormat="1" applyFont="1" applyAlignment="1" applyProtection="1">
      <alignment vertical="top"/>
      <protection locked="0"/>
    </xf>
    <xf numFmtId="0" fontId="6" fillId="0" borderId="0" xfId="0" applyFont="1" applyAlignment="1">
      <alignment vertical="center"/>
    </xf>
    <xf numFmtId="0" fontId="7" fillId="0" borderId="0" xfId="0" applyFont="1"/>
    <xf numFmtId="0" fontId="3" fillId="0" borderId="0" xfId="0" applyFont="1" applyAlignment="1" applyProtection="1">
      <alignment vertical="top"/>
      <protection locked="0"/>
    </xf>
    <xf numFmtId="165" fontId="1" fillId="0" borderId="3" xfId="0" applyNumberFormat="1" applyFont="1" applyBorder="1" applyAlignment="1">
      <alignment vertical="top"/>
    </xf>
    <xf numFmtId="0" fontId="5" fillId="0" borderId="0" xfId="0" applyFont="1" applyAlignment="1">
      <alignment horizontal="right" vertical="top"/>
    </xf>
    <xf numFmtId="0" fontId="2" fillId="0" borderId="1" xfId="0" applyFont="1" applyBorder="1"/>
    <xf numFmtId="165" fontId="1" fillId="0" borderId="4" xfId="0" applyNumberFormat="1" applyFont="1" applyBorder="1" applyAlignment="1">
      <alignment vertical="top"/>
    </xf>
    <xf numFmtId="9" fontId="5" fillId="0" borderId="0" xfId="0" applyNumberFormat="1" applyFont="1" applyAlignment="1">
      <alignment vertical="top"/>
    </xf>
    <xf numFmtId="165" fontId="3" fillId="0" borderId="4" xfId="0" applyNumberFormat="1" applyFont="1" applyBorder="1" applyAlignment="1">
      <alignment vertical="top"/>
    </xf>
    <xf numFmtId="165" fontId="3" fillId="0" borderId="0" xfId="0" applyNumberFormat="1" applyFont="1" applyAlignment="1">
      <alignment vertical="top"/>
    </xf>
    <xf numFmtId="10" fontId="5" fillId="0" borderId="0" xfId="0" applyNumberFormat="1" applyFont="1" applyAlignment="1">
      <alignment vertical="top"/>
    </xf>
    <xf numFmtId="9" fontId="1" fillId="0" borderId="0" xfId="0" applyNumberFormat="1" applyFont="1" applyAlignment="1">
      <alignment vertical="top"/>
    </xf>
    <xf numFmtId="166" fontId="1" fillId="0" borderId="0" xfId="0" applyNumberFormat="1" applyFont="1" applyAlignment="1">
      <alignment vertical="top"/>
    </xf>
    <xf numFmtId="42" fontId="3" fillId="0" borderId="5" xfId="0" applyNumberFormat="1" applyFont="1" applyBorder="1" applyAlignment="1">
      <alignment vertical="top"/>
    </xf>
    <xf numFmtId="166" fontId="3" fillId="0" borderId="5" xfId="0" applyNumberFormat="1" applyFont="1" applyBorder="1" applyAlignment="1">
      <alignment vertical="top"/>
    </xf>
    <xf numFmtId="0" fontId="4" fillId="0" borderId="0" xfId="0" applyFont="1" applyAlignment="1">
      <alignment vertical="center"/>
    </xf>
    <xf numFmtId="0" fontId="2" fillId="0" borderId="0" xfId="0" applyFont="1" applyAlignment="1">
      <alignment vertical="center"/>
    </xf>
    <xf numFmtId="43" fontId="1" fillId="0" borderId="0" xfId="0" applyNumberFormat="1" applyFont="1" applyAlignment="1">
      <alignment vertical="center"/>
    </xf>
    <xf numFmtId="43" fontId="3" fillId="0" borderId="5" xfId="0" applyNumberFormat="1" applyFont="1" applyBorder="1" applyAlignment="1">
      <alignment vertical="center"/>
    </xf>
    <xf numFmtId="0" fontId="4" fillId="0" borderId="0" xfId="0" applyFont="1"/>
    <xf numFmtId="2" fontId="2" fillId="0" borderId="0" xfId="0" applyNumberFormat="1" applyFont="1"/>
    <xf numFmtId="165" fontId="3" fillId="0" borderId="0" xfId="0" applyNumberFormat="1" applyFont="1" applyAlignment="1">
      <alignment vertical="center"/>
    </xf>
    <xf numFmtId="41" fontId="3" fillId="0" borderId="0" xfId="0" applyNumberFormat="1" applyFont="1" applyAlignment="1">
      <alignment vertical="center"/>
    </xf>
    <xf numFmtId="42" fontId="4" fillId="0" borderId="5" xfId="0" applyNumberFormat="1" applyFont="1" applyBorder="1" applyAlignment="1" applyProtection="1">
      <alignment vertical="center"/>
      <protection locked="0"/>
    </xf>
    <xf numFmtId="41" fontId="1" fillId="0" borderId="0" xfId="0" applyNumberFormat="1" applyFont="1" applyAlignment="1">
      <alignment vertical="top"/>
    </xf>
    <xf numFmtId="0" fontId="2" fillId="0" borderId="3" xfId="0" applyFont="1" applyBorder="1" applyAlignment="1">
      <alignment wrapText="1"/>
    </xf>
    <xf numFmtId="165" fontId="1" fillId="2" borderId="8" xfId="0" applyNumberFormat="1" applyFont="1" applyFill="1" applyBorder="1" applyAlignment="1">
      <alignment vertical="top"/>
    </xf>
    <xf numFmtId="165" fontId="1" fillId="2" borderId="8" xfId="0" applyNumberFormat="1" applyFont="1" applyFill="1" applyBorder="1" applyAlignment="1" applyProtection="1">
      <alignment vertical="top"/>
      <protection locked="0"/>
    </xf>
    <xf numFmtId="3" fontId="3" fillId="0" borderId="0" xfId="0" applyNumberFormat="1" applyFont="1" applyAlignment="1">
      <alignment horizontal="right"/>
    </xf>
    <xf numFmtId="164" fontId="3" fillId="0" borderId="0" xfId="0" applyNumberFormat="1" applyFont="1" applyAlignment="1">
      <alignment horizontal="right"/>
    </xf>
    <xf numFmtId="3" fontId="4" fillId="0" borderId="0" xfId="0" applyNumberFormat="1" applyFont="1" applyAlignment="1">
      <alignment horizontal="right"/>
    </xf>
    <xf numFmtId="0" fontId="3" fillId="0" borderId="1" xfId="0" applyFont="1" applyBorder="1" applyAlignment="1">
      <alignment horizontal="center"/>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262890</xdr:colOff>
      <xdr:row>57</xdr:row>
      <xdr:rowOff>99060</xdr:rowOff>
    </xdr:from>
    <xdr:to>
      <xdr:col>17</xdr:col>
      <xdr:colOff>69724</xdr:colOff>
      <xdr:row>60</xdr:row>
      <xdr:rowOff>85440</xdr:rowOff>
    </xdr:to>
    <xdr:pic>
      <xdr:nvPicPr>
        <xdr:cNvPr id="2" name="Picture 1">
          <a:extLst>
            <a:ext uri="{FF2B5EF4-FFF2-40B4-BE49-F238E27FC236}">
              <a16:creationId xmlns:a16="http://schemas.microsoft.com/office/drawing/2014/main" id="{098CC5C2-7F06-4488-A952-858F88AAE8F8}"/>
            </a:ext>
          </a:extLst>
        </xdr:cNvPr>
        <xdr:cNvPicPr>
          <a:picLocks noChangeAspect="1"/>
        </xdr:cNvPicPr>
      </xdr:nvPicPr>
      <xdr:blipFill>
        <a:blip xmlns:r="http://schemas.openxmlformats.org/officeDocument/2006/relationships" r:embed="rId1"/>
        <a:stretch>
          <a:fillRect/>
        </a:stretch>
      </xdr:blipFill>
      <xdr:spPr>
        <a:xfrm>
          <a:off x="12272010" y="8096250"/>
          <a:ext cx="2123314" cy="5350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n/Documents/U.S.%20Power%20Vision,%20LLC/Marketing/2.%20The%20Fabulous%20Lighting%20Maven/Master%20Proposal%20Workbook%20-%20For%20LC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ntory &amp; Work Plan"/>
      <sheetName val="Detail Sheet"/>
      <sheetName val="Key Performance Indicators"/>
      <sheetName val="Life Cycle Cost Benefit "/>
      <sheetName val="Executive Summary"/>
      <sheetName val="Agreement &amp; Warranty"/>
      <sheetName val="Bill of Materials &amp; Quote"/>
      <sheetName val="Purchase Order"/>
      <sheetName val="Request for Sbcntrctr Proposal"/>
      <sheetName val="Subcontractor NDA &amp; Non-Compete"/>
      <sheetName val="Subcontractor Agreement "/>
      <sheetName val="Sbcntrctr Full Cnditionl Waiver"/>
      <sheetName val="Client Invoice - Progress"/>
      <sheetName val="Client Invoice - Final"/>
      <sheetName val="Job Cost Summary"/>
    </sheetNames>
    <sheetDataSet>
      <sheetData sheetId="0"/>
      <sheetData sheetId="1">
        <row r="2">
          <cell r="I2" t="str">
            <v>Champion Foods</v>
          </cell>
        </row>
        <row r="5">
          <cell r="I5" t="str">
            <v>Champion Foods Facility</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49C0B-E7FF-430B-8305-FB01C75F1FA3}">
  <dimension ref="A1:T59"/>
  <sheetViews>
    <sheetView tabSelected="1" topLeftCell="B1" workbookViewId="0">
      <selection activeCell="D10" sqref="D10"/>
    </sheetView>
  </sheetViews>
  <sheetFormatPr defaultColWidth="9.15625" defaultRowHeight="14.4" x14ac:dyDescent="0.55000000000000004"/>
  <cols>
    <col min="1" max="1" width="6" style="2" customWidth="1"/>
    <col min="2" max="2" width="9.578125" style="2" customWidth="1"/>
    <col min="3" max="3" width="16.83984375" style="2" customWidth="1"/>
    <col min="4" max="4" width="26.15625" style="2" customWidth="1"/>
    <col min="5" max="5" width="8.83984375" style="2" customWidth="1"/>
    <col min="6" max="8" width="11.26171875" style="2" bestFit="1" customWidth="1"/>
    <col min="9" max="9" width="11.26171875" style="2" customWidth="1"/>
    <col min="10" max="16" width="10.68359375" style="2" customWidth="1"/>
    <col min="17" max="17" width="11.578125" style="2" bestFit="1" customWidth="1"/>
    <col min="18" max="18" width="9.15625" style="2"/>
    <col min="19" max="19" width="9.68359375" style="2" bestFit="1" customWidth="1"/>
    <col min="20" max="20" width="11.26171875" style="2" bestFit="1" customWidth="1"/>
    <col min="21" max="16384" width="9.15625" style="2"/>
  </cols>
  <sheetData>
    <row r="1" spans="1:17" x14ac:dyDescent="0.55000000000000004">
      <c r="A1" s="1"/>
      <c r="B1" s="1"/>
      <c r="C1" s="1"/>
      <c r="D1" s="1"/>
      <c r="E1" s="1"/>
      <c r="F1" s="1"/>
      <c r="G1" s="1"/>
      <c r="H1" s="1"/>
      <c r="I1" s="1"/>
      <c r="J1" s="1"/>
      <c r="K1" s="1"/>
      <c r="L1" s="1"/>
      <c r="M1" s="1"/>
      <c r="N1" s="1"/>
      <c r="O1" s="1"/>
      <c r="P1" s="1"/>
      <c r="Q1" s="1"/>
    </row>
    <row r="2" spans="1:17" x14ac:dyDescent="0.55000000000000004">
      <c r="A2" s="3" t="s">
        <v>0</v>
      </c>
      <c r="B2" s="1"/>
      <c r="C2" s="1"/>
      <c r="D2" s="1"/>
      <c r="E2" s="1"/>
      <c r="F2" s="1"/>
      <c r="G2" s="1"/>
      <c r="H2" s="1"/>
      <c r="I2" s="1"/>
      <c r="J2" s="1"/>
      <c r="K2" s="1"/>
      <c r="L2" s="1"/>
      <c r="M2" s="1"/>
      <c r="N2" s="1"/>
      <c r="O2" s="43" t="str">
        <f>+'[1]Detail Sheet'!I2</f>
        <v>Champion Foods</v>
      </c>
      <c r="P2" s="43"/>
      <c r="Q2" s="43"/>
    </row>
    <row r="3" spans="1:17" ht="15" customHeight="1" x14ac:dyDescent="0.55000000000000004">
      <c r="A3" s="3" t="s">
        <v>1</v>
      </c>
      <c r="B3" s="44">
        <f ca="1">TODAY()</f>
        <v>44962</v>
      </c>
      <c r="C3" s="44"/>
      <c r="D3" s="1"/>
      <c r="E3" s="4"/>
      <c r="F3" s="1"/>
      <c r="G3" s="1"/>
      <c r="H3" s="1"/>
      <c r="I3" s="1"/>
      <c r="J3" s="1"/>
      <c r="K3" s="1"/>
      <c r="L3" s="45" t="str">
        <f>'[1]Detail Sheet'!$I$5</f>
        <v>Champion Foods Facility</v>
      </c>
      <c r="M3" s="45"/>
      <c r="N3" s="45"/>
      <c r="O3" s="45"/>
      <c r="P3" s="45"/>
      <c r="Q3" s="45"/>
    </row>
    <row r="4" spans="1:17" ht="6" customHeight="1" x14ac:dyDescent="0.55000000000000004">
      <c r="A4" s="1"/>
      <c r="B4" s="1"/>
      <c r="C4" s="1"/>
      <c r="D4" s="1"/>
      <c r="E4" s="1"/>
      <c r="F4" s="1"/>
      <c r="G4" s="5"/>
      <c r="H4" s="1"/>
      <c r="I4" s="1"/>
      <c r="J4" s="1"/>
      <c r="K4" s="1"/>
      <c r="L4" s="1"/>
      <c r="M4" s="1"/>
      <c r="N4" s="1"/>
      <c r="O4" s="1"/>
      <c r="P4" s="1"/>
      <c r="Q4" s="1"/>
    </row>
    <row r="5" spans="1:17" ht="15" customHeight="1" x14ac:dyDescent="0.55000000000000004">
      <c r="A5" s="1"/>
      <c r="B5" s="1"/>
      <c r="C5" s="1"/>
      <c r="D5" s="1"/>
      <c r="E5" s="1"/>
      <c r="F5" s="6"/>
      <c r="G5" s="46" t="s">
        <v>2</v>
      </c>
      <c r="H5" s="46"/>
      <c r="I5" s="46"/>
      <c r="J5" s="46"/>
      <c r="K5" s="46"/>
      <c r="L5" s="46"/>
      <c r="M5" s="46"/>
      <c r="N5" s="46"/>
      <c r="O5" s="46"/>
      <c r="P5" s="46"/>
      <c r="Q5" s="1"/>
    </row>
    <row r="6" spans="1:17" x14ac:dyDescent="0.55000000000000004">
      <c r="A6" s="1"/>
      <c r="B6" s="1"/>
      <c r="C6" s="1"/>
      <c r="D6" s="1"/>
      <c r="E6" s="1"/>
      <c r="F6" s="6" t="s">
        <v>3</v>
      </c>
      <c r="G6" s="6">
        <v>1</v>
      </c>
      <c r="H6" s="6">
        <v>2</v>
      </c>
      <c r="I6" s="6">
        <v>3</v>
      </c>
      <c r="J6" s="6">
        <v>4</v>
      </c>
      <c r="K6" s="7">
        <v>5</v>
      </c>
      <c r="L6" s="7">
        <v>6</v>
      </c>
      <c r="M6" s="7">
        <v>7</v>
      </c>
      <c r="N6" s="7">
        <v>8</v>
      </c>
      <c r="O6" s="7">
        <v>9</v>
      </c>
      <c r="P6" s="7">
        <v>10</v>
      </c>
      <c r="Q6" s="7" t="s">
        <v>4</v>
      </c>
    </row>
    <row r="7" spans="1:17" ht="6" customHeight="1" x14ac:dyDescent="0.55000000000000004">
      <c r="A7" s="8"/>
      <c r="B7" s="8"/>
      <c r="C7" s="8"/>
      <c r="D7" s="8"/>
      <c r="E7" s="8"/>
      <c r="F7" s="8"/>
      <c r="G7" s="8"/>
      <c r="H7" s="8"/>
      <c r="I7" s="8"/>
      <c r="J7" s="8"/>
      <c r="K7" s="8"/>
      <c r="L7" s="8"/>
      <c r="M7" s="8"/>
      <c r="N7" s="8"/>
      <c r="O7" s="8"/>
      <c r="P7" s="8"/>
      <c r="Q7" s="8"/>
    </row>
    <row r="8" spans="1:17" x14ac:dyDescent="0.55000000000000004">
      <c r="A8" s="9" t="s">
        <v>5</v>
      </c>
      <c r="B8" s="8"/>
      <c r="C8" s="8"/>
      <c r="D8" s="8"/>
      <c r="E8" s="8"/>
      <c r="F8" s="8"/>
      <c r="G8" s="8"/>
      <c r="H8" s="8"/>
      <c r="I8" s="8"/>
      <c r="J8" s="8"/>
      <c r="K8" s="8"/>
      <c r="L8" s="8"/>
      <c r="M8" s="8"/>
      <c r="N8" s="8"/>
      <c r="O8" s="8"/>
      <c r="P8" s="8"/>
      <c r="Q8" s="8"/>
    </row>
    <row r="9" spans="1:17" x14ac:dyDescent="0.55000000000000004">
      <c r="A9" s="8"/>
      <c r="B9" s="8" t="s">
        <v>6</v>
      </c>
      <c r="C9" s="8"/>
      <c r="D9" s="8"/>
      <c r="E9" s="8"/>
      <c r="F9" s="41">
        <v>28000</v>
      </c>
      <c r="H9" s="11">
        <v>0</v>
      </c>
      <c r="I9" s="11">
        <v>0</v>
      </c>
      <c r="J9" s="11">
        <v>0</v>
      </c>
      <c r="K9" s="11">
        <v>0</v>
      </c>
      <c r="L9" s="11">
        <v>0</v>
      </c>
      <c r="M9" s="11">
        <v>0</v>
      </c>
      <c r="N9" s="11">
        <v>0</v>
      </c>
      <c r="O9" s="11">
        <v>0</v>
      </c>
      <c r="P9" s="11">
        <v>0</v>
      </c>
      <c r="Q9" s="10">
        <f>SUM(F9:P9)</f>
        <v>28000</v>
      </c>
    </row>
    <row r="10" spans="1:17" ht="6" customHeight="1" x14ac:dyDescent="0.55000000000000004">
      <c r="A10" s="8"/>
      <c r="B10" s="8"/>
      <c r="C10" s="8"/>
      <c r="D10" s="8"/>
      <c r="E10" s="8"/>
      <c r="F10" s="10"/>
      <c r="H10" s="11"/>
      <c r="I10" s="11"/>
      <c r="J10" s="11"/>
      <c r="K10" s="11"/>
      <c r="L10" s="11"/>
      <c r="M10" s="11"/>
      <c r="N10" s="11"/>
      <c r="O10" s="11"/>
      <c r="P10" s="11"/>
      <c r="Q10" s="10"/>
    </row>
    <row r="11" spans="1:17" x14ac:dyDescent="0.55000000000000004">
      <c r="A11" s="8"/>
      <c r="B11" s="8" t="s">
        <v>7</v>
      </c>
      <c r="C11" s="8"/>
      <c r="D11" s="8"/>
      <c r="E11" s="8"/>
      <c r="F11" s="8"/>
      <c r="H11" s="8"/>
      <c r="I11" s="8"/>
      <c r="J11" s="8"/>
      <c r="K11" s="8"/>
      <c r="L11" s="8"/>
      <c r="M11" s="8"/>
      <c r="N11" s="8"/>
      <c r="O11" s="8"/>
      <c r="P11" s="8"/>
      <c r="Q11" s="8"/>
    </row>
    <row r="12" spans="1:17" x14ac:dyDescent="0.55000000000000004">
      <c r="A12" s="12"/>
      <c r="B12" s="12"/>
      <c r="C12" s="12" t="s">
        <v>8</v>
      </c>
      <c r="D12" s="12"/>
      <c r="E12" s="13">
        <v>0.04</v>
      </c>
      <c r="F12" s="14">
        <v>0</v>
      </c>
      <c r="G12" s="42">
        <v>80000</v>
      </c>
      <c r="H12" s="14">
        <f>G12*(1+$E$12)</f>
        <v>83200</v>
      </c>
      <c r="I12" s="14">
        <f t="shared" ref="I12:P12" si="0">H12*(1+$E$12)</f>
        <v>86528</v>
      </c>
      <c r="J12" s="14">
        <f t="shared" si="0"/>
        <v>89989.12000000001</v>
      </c>
      <c r="K12" s="14">
        <f t="shared" si="0"/>
        <v>93588.684800000017</v>
      </c>
      <c r="L12" s="14">
        <f t="shared" si="0"/>
        <v>97332.232192000025</v>
      </c>
      <c r="M12" s="14">
        <f t="shared" si="0"/>
        <v>101225.52147968003</v>
      </c>
      <c r="N12" s="14">
        <f t="shared" si="0"/>
        <v>105274.54233886724</v>
      </c>
      <c r="O12" s="14">
        <f t="shared" si="0"/>
        <v>109485.52403242193</v>
      </c>
      <c r="P12" s="14">
        <f t="shared" si="0"/>
        <v>113864.94499371882</v>
      </c>
      <c r="Q12" s="14">
        <f t="shared" ref="Q12:Q17" si="1">SUM(F12:P12)</f>
        <v>960488.569836688</v>
      </c>
    </row>
    <row r="13" spans="1:17" ht="15.6" x14ac:dyDescent="0.55000000000000004">
      <c r="A13" s="12"/>
      <c r="B13" s="12"/>
      <c r="C13" s="15" t="s">
        <v>9</v>
      </c>
      <c r="D13" s="12"/>
      <c r="E13" s="13">
        <v>3.4000000000000002E-2</v>
      </c>
      <c r="F13" s="14">
        <v>0</v>
      </c>
      <c r="G13" s="42"/>
      <c r="H13" s="14">
        <f>G13*(1+$E$14)</f>
        <v>0</v>
      </c>
      <c r="I13" s="14">
        <f t="shared" ref="I13:P15" si="2">H13*(1+$E$14)</f>
        <v>0</v>
      </c>
      <c r="J13" s="14">
        <f t="shared" si="2"/>
        <v>0</v>
      </c>
      <c r="K13" s="14">
        <f t="shared" si="2"/>
        <v>0</v>
      </c>
      <c r="L13" s="14">
        <f t="shared" si="2"/>
        <v>0</v>
      </c>
      <c r="M13" s="14">
        <f t="shared" si="2"/>
        <v>0</v>
      </c>
      <c r="N13" s="14">
        <f t="shared" si="2"/>
        <v>0</v>
      </c>
      <c r="O13" s="14">
        <f t="shared" si="2"/>
        <v>0</v>
      </c>
      <c r="P13" s="14">
        <f t="shared" si="2"/>
        <v>0</v>
      </c>
      <c r="Q13" s="14">
        <f t="shared" si="1"/>
        <v>0</v>
      </c>
    </row>
    <row r="14" spans="1:17" x14ac:dyDescent="0.55000000000000004">
      <c r="A14" s="12"/>
      <c r="B14" s="12"/>
      <c r="C14" s="16" t="s">
        <v>10</v>
      </c>
      <c r="D14" s="12"/>
      <c r="E14" s="13">
        <v>0.04</v>
      </c>
      <c r="F14" s="14">
        <v>0</v>
      </c>
      <c r="G14" s="42"/>
      <c r="H14" s="14">
        <f>G14*(1+$E$14)</f>
        <v>0</v>
      </c>
      <c r="I14" s="14">
        <f t="shared" si="2"/>
        <v>0</v>
      </c>
      <c r="J14" s="14">
        <f t="shared" si="2"/>
        <v>0</v>
      </c>
      <c r="K14" s="14">
        <f t="shared" si="2"/>
        <v>0</v>
      </c>
      <c r="L14" s="14">
        <f t="shared" si="2"/>
        <v>0</v>
      </c>
      <c r="M14" s="14">
        <f t="shared" si="2"/>
        <v>0</v>
      </c>
      <c r="N14" s="14">
        <f t="shared" si="2"/>
        <v>0</v>
      </c>
      <c r="O14" s="14">
        <f t="shared" si="2"/>
        <v>0</v>
      </c>
      <c r="P14" s="14">
        <f t="shared" si="2"/>
        <v>0</v>
      </c>
      <c r="Q14" s="14">
        <f t="shared" si="1"/>
        <v>0</v>
      </c>
    </row>
    <row r="15" spans="1:17" x14ac:dyDescent="0.55000000000000004">
      <c r="A15" s="12"/>
      <c r="B15" s="12"/>
      <c r="C15" s="16" t="s">
        <v>11</v>
      </c>
      <c r="D15" s="12"/>
      <c r="E15" s="13">
        <v>0.04</v>
      </c>
      <c r="F15" s="14">
        <v>0</v>
      </c>
      <c r="G15" s="42"/>
      <c r="H15" s="14">
        <f>G15*(1+$E$14)</f>
        <v>0</v>
      </c>
      <c r="I15" s="14">
        <f t="shared" si="2"/>
        <v>0</v>
      </c>
      <c r="J15" s="14">
        <f t="shared" si="2"/>
        <v>0</v>
      </c>
      <c r="K15" s="14">
        <f t="shared" si="2"/>
        <v>0</v>
      </c>
      <c r="L15" s="14">
        <f t="shared" si="2"/>
        <v>0</v>
      </c>
      <c r="M15" s="14">
        <f t="shared" si="2"/>
        <v>0</v>
      </c>
      <c r="N15" s="14">
        <f t="shared" si="2"/>
        <v>0</v>
      </c>
      <c r="O15" s="14">
        <f t="shared" si="2"/>
        <v>0</v>
      </c>
      <c r="P15" s="14">
        <f t="shared" si="2"/>
        <v>0</v>
      </c>
      <c r="Q15" s="14">
        <f t="shared" si="1"/>
        <v>0</v>
      </c>
    </row>
    <row r="16" spans="1:17" ht="15.6" x14ac:dyDescent="0.55000000000000004">
      <c r="A16" s="12"/>
      <c r="B16" s="12"/>
      <c r="C16" s="15" t="s">
        <v>12</v>
      </c>
      <c r="D16" s="17"/>
      <c r="E16" s="13">
        <v>0.04</v>
      </c>
      <c r="F16" s="14">
        <v>0</v>
      </c>
      <c r="G16" s="42"/>
      <c r="H16" s="14">
        <f>G16*(1+$E$16)</f>
        <v>0</v>
      </c>
      <c r="I16" s="14">
        <f t="shared" ref="I16:P16" si="3">H16*(1+$E$16)</f>
        <v>0</v>
      </c>
      <c r="J16" s="14">
        <f t="shared" si="3"/>
        <v>0</v>
      </c>
      <c r="K16" s="14">
        <f t="shared" si="3"/>
        <v>0</v>
      </c>
      <c r="L16" s="14">
        <f t="shared" si="3"/>
        <v>0</v>
      </c>
      <c r="M16" s="14">
        <f t="shared" si="3"/>
        <v>0</v>
      </c>
      <c r="N16" s="14">
        <f t="shared" si="3"/>
        <v>0</v>
      </c>
      <c r="O16" s="14">
        <f t="shared" si="3"/>
        <v>0</v>
      </c>
      <c r="P16" s="14">
        <f t="shared" si="3"/>
        <v>0</v>
      </c>
      <c r="Q16" s="14">
        <f t="shared" si="1"/>
        <v>0</v>
      </c>
    </row>
    <row r="17" spans="1:20" x14ac:dyDescent="0.55000000000000004">
      <c r="A17" s="12"/>
      <c r="B17" s="12"/>
      <c r="C17" s="12" t="s">
        <v>13</v>
      </c>
      <c r="D17" s="17"/>
      <c r="E17" s="13">
        <v>2.1999999999999999E-2</v>
      </c>
      <c r="F17" s="14">
        <v>0</v>
      </c>
      <c r="G17" s="42">
        <v>25000</v>
      </c>
      <c r="H17" s="14">
        <f>G17*(1+$E$17)</f>
        <v>25550</v>
      </c>
      <c r="I17" s="14">
        <f t="shared" ref="I17:P17" si="4">H17*(1+$E$17)</f>
        <v>26112.100000000002</v>
      </c>
      <c r="J17" s="14">
        <f t="shared" si="4"/>
        <v>26686.566200000001</v>
      </c>
      <c r="K17" s="14">
        <f t="shared" si="4"/>
        <v>27273.670656400001</v>
      </c>
      <c r="L17" s="14">
        <f t="shared" si="4"/>
        <v>27873.691410840802</v>
      </c>
      <c r="M17" s="14">
        <f t="shared" si="4"/>
        <v>28486.912621879299</v>
      </c>
      <c r="N17" s="14">
        <f t="shared" si="4"/>
        <v>29113.624699560645</v>
      </c>
      <c r="O17" s="14">
        <f t="shared" si="4"/>
        <v>29754.124442950979</v>
      </c>
      <c r="P17" s="14">
        <f t="shared" si="4"/>
        <v>30408.715180695901</v>
      </c>
      <c r="Q17" s="14">
        <f t="shared" si="1"/>
        <v>276259.40521232761</v>
      </c>
    </row>
    <row r="19" spans="1:20" x14ac:dyDescent="0.55000000000000004">
      <c r="A19" s="8"/>
      <c r="B19" s="8"/>
      <c r="C19" s="8"/>
      <c r="D19" s="8"/>
      <c r="E19" s="8"/>
      <c r="F19" s="18">
        <f t="shared" ref="F19:P19" si="5">SUM(F9:F17)</f>
        <v>28000</v>
      </c>
      <c r="G19" s="18">
        <f t="shared" si="5"/>
        <v>105000</v>
      </c>
      <c r="H19" s="18">
        <f t="shared" si="5"/>
        <v>108750</v>
      </c>
      <c r="I19" s="18">
        <f t="shared" si="5"/>
        <v>112640.1</v>
      </c>
      <c r="J19" s="18">
        <f t="shared" si="5"/>
        <v>116675.68620000001</v>
      </c>
      <c r="K19" s="18">
        <f t="shared" si="5"/>
        <v>120862.35545640002</v>
      </c>
      <c r="L19" s="18">
        <f t="shared" si="5"/>
        <v>125205.92360284083</v>
      </c>
      <c r="M19" s="18">
        <f t="shared" si="5"/>
        <v>129712.43410155932</v>
      </c>
      <c r="N19" s="18">
        <f t="shared" si="5"/>
        <v>134388.16703842787</v>
      </c>
      <c r="O19" s="18">
        <f t="shared" si="5"/>
        <v>139239.6484753729</v>
      </c>
      <c r="P19" s="18">
        <f t="shared" si="5"/>
        <v>144273.66017441472</v>
      </c>
      <c r="Q19" s="18">
        <f>SUM(F19:P19)</f>
        <v>1264747.9750490156</v>
      </c>
    </row>
    <row r="20" spans="1:20" ht="6" customHeight="1" x14ac:dyDescent="0.55000000000000004">
      <c r="A20" s="8"/>
      <c r="B20" s="8"/>
      <c r="C20" s="8"/>
      <c r="D20" s="8"/>
      <c r="E20" s="8"/>
      <c r="F20" s="10"/>
      <c r="G20" s="10"/>
      <c r="H20" s="10"/>
      <c r="I20" s="10"/>
      <c r="J20" s="10"/>
      <c r="K20" s="10"/>
      <c r="L20" s="10"/>
      <c r="M20" s="10"/>
      <c r="N20" s="10"/>
      <c r="O20" s="10"/>
      <c r="P20" s="10"/>
      <c r="Q20" s="10"/>
    </row>
    <row r="21" spans="1:20" x14ac:dyDescent="0.55000000000000004">
      <c r="A21" s="8"/>
      <c r="B21" s="8" t="s">
        <v>14</v>
      </c>
      <c r="C21" s="8"/>
      <c r="D21" s="19" t="s">
        <v>33</v>
      </c>
      <c r="E21" s="19">
        <v>65000</v>
      </c>
      <c r="F21" s="10"/>
      <c r="G21" s="10">
        <f>(F32-F21)*1/39*0.5</f>
        <v>-2564.102564102564</v>
      </c>
      <c r="H21" s="10">
        <f>(F32-F21)*1/39</f>
        <v>-5128.2051282051279</v>
      </c>
      <c r="I21" s="10">
        <f>(F32-F21)*1/39</f>
        <v>-5128.2051282051279</v>
      </c>
      <c r="J21" s="10">
        <f>(F32-F21)*1/39</f>
        <v>-5128.2051282051279</v>
      </c>
      <c r="K21" s="10">
        <f>(F32-F21)*1/39</f>
        <v>-5128.2051282051279</v>
      </c>
      <c r="L21" s="10">
        <f>(F32-F21)*1/39</f>
        <v>-5128.2051282051279</v>
      </c>
      <c r="M21" s="10">
        <f>(F32-F21)*1/39</f>
        <v>-5128.2051282051279</v>
      </c>
      <c r="N21" s="10">
        <f>(F32-F21)*1/39</f>
        <v>-5128.2051282051279</v>
      </c>
      <c r="O21" s="10">
        <f>(F32-F21)*1/39</f>
        <v>-5128.2051282051279</v>
      </c>
      <c r="P21" s="10">
        <f>(F32-F21)*1/39</f>
        <v>-5128.2051282051279</v>
      </c>
      <c r="Q21" s="10">
        <f>SUM(F21:P21)</f>
        <v>-48717.948717948711</v>
      </c>
      <c r="S21" s="11">
        <f>F21</f>
        <v>0</v>
      </c>
    </row>
    <row r="22" spans="1:20" ht="6" customHeight="1" x14ac:dyDescent="0.55000000000000004">
      <c r="A22" s="8"/>
      <c r="B22" s="8"/>
      <c r="C22" s="8"/>
      <c r="D22" s="8"/>
      <c r="E22" s="8"/>
      <c r="F22" s="10"/>
      <c r="G22" s="10"/>
      <c r="H22" s="10"/>
      <c r="I22" s="10"/>
      <c r="J22" s="10"/>
      <c r="K22" s="10"/>
      <c r="L22" s="10"/>
      <c r="M22" s="10"/>
      <c r="N22" s="10"/>
      <c r="O22" s="10"/>
      <c r="P22" s="10"/>
      <c r="Q22" s="10"/>
    </row>
    <row r="23" spans="1:20" x14ac:dyDescent="0.55000000000000004">
      <c r="A23" s="8"/>
      <c r="B23" s="8" t="s">
        <v>15</v>
      </c>
      <c r="C23" s="8"/>
      <c r="D23" s="8"/>
      <c r="E23" s="8"/>
      <c r="F23" s="10">
        <f>F34*0.5</f>
        <v>-50000</v>
      </c>
      <c r="G23" s="10">
        <f>(F34-F23)*1/15*0.5</f>
        <v>-1666.6666666666667</v>
      </c>
      <c r="H23" s="10">
        <f>(F34-F23)*1/15</f>
        <v>-3333.3333333333335</v>
      </c>
      <c r="I23" s="10">
        <f>(F34-F23)*1/15</f>
        <v>-3333.3333333333335</v>
      </c>
      <c r="J23" s="10">
        <f>(F34-F23)*1/15</f>
        <v>-3333.3333333333335</v>
      </c>
      <c r="K23" s="10">
        <f>(F34-F23)*1/15</f>
        <v>-3333.3333333333335</v>
      </c>
      <c r="L23" s="10">
        <f>(F34-F23)*1/15</f>
        <v>-3333.3333333333335</v>
      </c>
      <c r="M23" s="10">
        <f>(F34-F23)*1/15</f>
        <v>-3333.3333333333335</v>
      </c>
      <c r="N23" s="10">
        <f>(F34-F23)*1/15</f>
        <v>-3333.3333333333335</v>
      </c>
      <c r="O23" s="10">
        <f>(F34-F23)*1/15</f>
        <v>-3333.3333333333335</v>
      </c>
      <c r="P23" s="10">
        <f>(F34-F23)*1/15</f>
        <v>-3333.3333333333335</v>
      </c>
      <c r="Q23" s="10">
        <f>SUM(F23:P23)</f>
        <v>-81666.666666666657</v>
      </c>
      <c r="S23" s="11">
        <f>F23</f>
        <v>-50000</v>
      </c>
    </row>
    <row r="24" spans="1:20" ht="6" customHeight="1" x14ac:dyDescent="0.55000000000000004">
      <c r="A24" s="8"/>
      <c r="B24" s="8"/>
      <c r="C24" s="8"/>
      <c r="D24" s="8"/>
      <c r="E24" s="8"/>
      <c r="F24" s="10"/>
      <c r="G24" s="10"/>
      <c r="H24" s="10"/>
      <c r="I24" s="10"/>
      <c r="J24" s="10"/>
      <c r="K24" s="10"/>
      <c r="L24" s="10"/>
      <c r="M24" s="10"/>
      <c r="N24" s="10"/>
      <c r="O24" s="10"/>
      <c r="P24" s="10"/>
      <c r="Q24" s="10"/>
      <c r="S24" s="20"/>
    </row>
    <row r="25" spans="1:20" ht="14.7" thickBot="1" x14ac:dyDescent="0.6">
      <c r="A25" s="8"/>
      <c r="B25" s="8" t="s">
        <v>16</v>
      </c>
      <c r="C25" s="8"/>
      <c r="D25" s="8"/>
      <c r="E25" s="8"/>
      <c r="F25" s="21">
        <f t="shared" ref="F25:P25" si="6">F19+F21+F23</f>
        <v>-22000</v>
      </c>
      <c r="G25" s="21">
        <f t="shared" si="6"/>
        <v>100769.23076923077</v>
      </c>
      <c r="H25" s="21">
        <f t="shared" si="6"/>
        <v>100288.46153846155</v>
      </c>
      <c r="I25" s="21">
        <f t="shared" si="6"/>
        <v>104178.56153846155</v>
      </c>
      <c r="J25" s="21">
        <f t="shared" si="6"/>
        <v>108214.14773846156</v>
      </c>
      <c r="K25" s="21">
        <f t="shared" si="6"/>
        <v>112400.81699486157</v>
      </c>
      <c r="L25" s="21">
        <f t="shared" si="6"/>
        <v>116744.38514130238</v>
      </c>
      <c r="M25" s="21">
        <f t="shared" si="6"/>
        <v>121250.89564002087</v>
      </c>
      <c r="N25" s="21">
        <f t="shared" si="6"/>
        <v>125926.62857688942</v>
      </c>
      <c r="O25" s="21">
        <f t="shared" si="6"/>
        <v>130778.11001383445</v>
      </c>
      <c r="P25" s="21">
        <f t="shared" si="6"/>
        <v>135812.12171287625</v>
      </c>
      <c r="Q25" s="21">
        <f>SUM(F25:P25)</f>
        <v>1134363.3596644003</v>
      </c>
      <c r="S25" s="11">
        <f>SUM(S21:S24)</f>
        <v>-50000</v>
      </c>
    </row>
    <row r="26" spans="1:20" ht="6" customHeight="1" x14ac:dyDescent="0.55000000000000004">
      <c r="A26" s="8"/>
      <c r="B26" s="8"/>
      <c r="C26" s="8"/>
      <c r="D26" s="8"/>
      <c r="E26" s="8"/>
      <c r="F26" s="8"/>
      <c r="G26" s="8"/>
      <c r="H26" s="8"/>
      <c r="I26" s="8"/>
      <c r="J26" s="8"/>
      <c r="K26" s="8"/>
      <c r="L26" s="8"/>
      <c r="M26" s="8"/>
      <c r="N26" s="8"/>
      <c r="O26" s="8"/>
      <c r="P26" s="8"/>
      <c r="Q26" s="8"/>
    </row>
    <row r="27" spans="1:20" x14ac:dyDescent="0.55000000000000004">
      <c r="A27" s="8"/>
      <c r="B27" s="8" t="s">
        <v>17</v>
      </c>
      <c r="C27" s="8"/>
      <c r="D27" s="8"/>
      <c r="E27" s="22">
        <v>0</v>
      </c>
      <c r="F27" s="10">
        <f>F25*TaxRate_1</f>
        <v>0</v>
      </c>
      <c r="G27" s="10">
        <f>G25*TaxRate_1</f>
        <v>0</v>
      </c>
      <c r="H27" s="10">
        <f t="shared" ref="H27:P27" si="7">+H25*TaxRate_1</f>
        <v>0</v>
      </c>
      <c r="I27" s="10">
        <f t="shared" si="7"/>
        <v>0</v>
      </c>
      <c r="J27" s="10">
        <f t="shared" si="7"/>
        <v>0</v>
      </c>
      <c r="K27" s="10">
        <f t="shared" si="7"/>
        <v>0</v>
      </c>
      <c r="L27" s="10">
        <f t="shared" si="7"/>
        <v>0</v>
      </c>
      <c r="M27" s="10">
        <f t="shared" si="7"/>
        <v>0</v>
      </c>
      <c r="N27" s="10">
        <f t="shared" si="7"/>
        <v>0</v>
      </c>
      <c r="O27" s="10">
        <f t="shared" si="7"/>
        <v>0</v>
      </c>
      <c r="P27" s="10">
        <f t="shared" si="7"/>
        <v>0</v>
      </c>
      <c r="Q27" s="10">
        <f>SUM(F27:P27)</f>
        <v>0</v>
      </c>
      <c r="S27" s="11">
        <f>S25*0.21</f>
        <v>-10500</v>
      </c>
      <c r="T27" s="2" t="s">
        <v>18</v>
      </c>
    </row>
    <row r="28" spans="1:20" ht="6" customHeight="1" x14ac:dyDescent="0.55000000000000004">
      <c r="A28" s="8"/>
      <c r="B28" s="8"/>
      <c r="C28" s="8"/>
      <c r="D28" s="8"/>
      <c r="E28" s="8"/>
      <c r="F28" s="8"/>
      <c r="G28" s="8"/>
      <c r="H28" s="8"/>
      <c r="I28" s="8"/>
      <c r="J28" s="8"/>
      <c r="K28" s="8"/>
      <c r="L28" s="8"/>
      <c r="M28" s="8"/>
      <c r="N28" s="8"/>
      <c r="O28" s="8"/>
      <c r="P28" s="8"/>
      <c r="Q28" s="8"/>
    </row>
    <row r="29" spans="1:20" ht="14.7" thickBot="1" x14ac:dyDescent="0.6">
      <c r="A29" s="9"/>
      <c r="B29" s="9" t="s">
        <v>19</v>
      </c>
      <c r="C29" s="9"/>
      <c r="D29" s="9"/>
      <c r="E29" s="9"/>
      <c r="F29" s="23">
        <f>+F25-F27</f>
        <v>-22000</v>
      </c>
      <c r="G29" s="23">
        <f t="shared" ref="G29:P29" si="8">+G25-G27</f>
        <v>100769.23076923077</v>
      </c>
      <c r="H29" s="23">
        <f t="shared" si="8"/>
        <v>100288.46153846155</v>
      </c>
      <c r="I29" s="23">
        <f t="shared" si="8"/>
        <v>104178.56153846155</v>
      </c>
      <c r="J29" s="23">
        <f t="shared" si="8"/>
        <v>108214.14773846156</v>
      </c>
      <c r="K29" s="23">
        <f t="shared" si="8"/>
        <v>112400.81699486157</v>
      </c>
      <c r="L29" s="23">
        <f t="shared" si="8"/>
        <v>116744.38514130238</v>
      </c>
      <c r="M29" s="23">
        <f t="shared" si="8"/>
        <v>121250.89564002087</v>
      </c>
      <c r="N29" s="23">
        <f t="shared" si="8"/>
        <v>125926.62857688942</v>
      </c>
      <c r="O29" s="23">
        <f t="shared" si="8"/>
        <v>130778.11001383445</v>
      </c>
      <c r="P29" s="23">
        <f t="shared" si="8"/>
        <v>135812.12171287625</v>
      </c>
      <c r="Q29" s="23">
        <f>SUM(F29:P29)</f>
        <v>1134363.3596644003</v>
      </c>
    </row>
    <row r="30" spans="1:20" ht="6" customHeight="1" x14ac:dyDescent="0.55000000000000004">
      <c r="A30" s="8"/>
      <c r="B30" s="8"/>
      <c r="C30" s="8"/>
      <c r="D30" s="8"/>
      <c r="E30" s="8"/>
      <c r="F30" s="8"/>
      <c r="G30" s="8"/>
      <c r="H30" s="8"/>
      <c r="I30" s="8"/>
      <c r="J30" s="8"/>
      <c r="K30" s="8"/>
      <c r="L30" s="8"/>
      <c r="M30" s="8"/>
      <c r="N30" s="8"/>
      <c r="O30" s="8"/>
      <c r="P30" s="8"/>
      <c r="Q30" s="8"/>
    </row>
    <row r="31" spans="1:20" x14ac:dyDescent="0.55000000000000004">
      <c r="A31" s="9" t="s">
        <v>20</v>
      </c>
      <c r="B31" s="8"/>
      <c r="C31" s="8"/>
      <c r="D31" s="8"/>
      <c r="E31" s="8"/>
      <c r="F31" s="8"/>
      <c r="G31" s="8"/>
      <c r="H31" s="8"/>
      <c r="I31" s="10"/>
      <c r="J31" s="8"/>
      <c r="K31" s="8"/>
      <c r="L31" s="8"/>
      <c r="M31" s="8"/>
      <c r="N31" s="8"/>
      <c r="O31" s="8"/>
      <c r="P31" s="8"/>
      <c r="Q31" s="8"/>
    </row>
    <row r="32" spans="1:20" x14ac:dyDescent="0.55000000000000004">
      <c r="A32" s="8"/>
      <c r="B32" s="8" t="s">
        <v>21</v>
      </c>
      <c r="C32" s="8"/>
      <c r="D32" s="8"/>
      <c r="E32" s="8"/>
      <c r="F32" s="41">
        <v>-200000</v>
      </c>
      <c r="G32" s="10">
        <v>0</v>
      </c>
      <c r="H32" s="10">
        <v>0</v>
      </c>
      <c r="I32" s="10">
        <v>0</v>
      </c>
      <c r="J32" s="10">
        <v>0</v>
      </c>
      <c r="K32" s="10">
        <v>0</v>
      </c>
      <c r="L32" s="10">
        <v>0</v>
      </c>
      <c r="M32" s="10">
        <v>0</v>
      </c>
      <c r="N32" s="10">
        <v>0</v>
      </c>
      <c r="O32" s="10">
        <v>0</v>
      </c>
      <c r="P32" s="10">
        <v>0</v>
      </c>
      <c r="Q32" s="10">
        <f>SUM(F32:P32)</f>
        <v>-200000</v>
      </c>
    </row>
    <row r="33" spans="1:17" ht="6" customHeight="1" x14ac:dyDescent="0.55000000000000004">
      <c r="A33" s="8"/>
      <c r="B33" s="8"/>
      <c r="C33" s="8"/>
      <c r="D33" s="8"/>
      <c r="E33" s="8"/>
      <c r="F33" s="10"/>
      <c r="G33" s="10"/>
      <c r="H33" s="10"/>
      <c r="I33" s="10"/>
      <c r="J33" s="10"/>
      <c r="K33" s="10"/>
      <c r="L33" s="10"/>
      <c r="M33" s="10"/>
      <c r="N33" s="10"/>
      <c r="O33" s="10"/>
      <c r="P33" s="10"/>
      <c r="Q33" s="10"/>
    </row>
    <row r="34" spans="1:17" x14ac:dyDescent="0.55000000000000004">
      <c r="A34" s="8"/>
      <c r="B34" s="8" t="s">
        <v>22</v>
      </c>
      <c r="C34" s="8"/>
      <c r="D34" s="8"/>
      <c r="E34" s="8"/>
      <c r="F34" s="41">
        <v>-100000</v>
      </c>
      <c r="G34" s="10">
        <v>0</v>
      </c>
      <c r="H34" s="10">
        <v>0</v>
      </c>
      <c r="I34" s="10">
        <v>0</v>
      </c>
      <c r="J34" s="10">
        <v>0</v>
      </c>
      <c r="K34" s="10">
        <v>0</v>
      </c>
      <c r="L34" s="10">
        <v>0</v>
      </c>
      <c r="M34" s="10">
        <v>0</v>
      </c>
      <c r="N34" s="10">
        <v>0</v>
      </c>
      <c r="O34" s="10">
        <v>0</v>
      </c>
      <c r="P34" s="10">
        <v>0</v>
      </c>
      <c r="Q34" s="10">
        <f>SUM(F34:P34)</f>
        <v>-100000</v>
      </c>
    </row>
    <row r="35" spans="1:17" ht="6" customHeight="1" x14ac:dyDescent="0.55000000000000004">
      <c r="A35" s="8"/>
      <c r="B35" s="8"/>
      <c r="C35" s="8"/>
      <c r="D35" s="8"/>
      <c r="E35" s="8"/>
      <c r="F35" s="10"/>
      <c r="G35" s="10"/>
      <c r="H35" s="10"/>
      <c r="I35" s="10"/>
      <c r="J35" s="10"/>
      <c r="K35" s="10"/>
      <c r="L35" s="10"/>
      <c r="M35" s="10"/>
      <c r="N35" s="10"/>
      <c r="O35" s="10"/>
      <c r="P35" s="10"/>
      <c r="Q35" s="10"/>
    </row>
    <row r="36" spans="1:17" x14ac:dyDescent="0.55000000000000004">
      <c r="A36" s="8"/>
      <c r="B36" s="8" t="s">
        <v>23</v>
      </c>
      <c r="C36" s="8"/>
      <c r="D36" s="8"/>
      <c r="E36" s="8"/>
      <c r="F36" s="41"/>
      <c r="G36" s="10">
        <f>F36/-3</f>
        <v>0</v>
      </c>
      <c r="H36" s="10">
        <f>F36/-3</f>
        <v>0</v>
      </c>
      <c r="I36" s="10">
        <f>F36/-3</f>
        <v>0</v>
      </c>
      <c r="J36" s="10">
        <v>0</v>
      </c>
      <c r="K36" s="10">
        <v>0</v>
      </c>
      <c r="L36" s="10">
        <v>0</v>
      </c>
      <c r="M36" s="10">
        <v>0</v>
      </c>
      <c r="N36" s="10">
        <v>0</v>
      </c>
      <c r="O36" s="10">
        <v>0</v>
      </c>
      <c r="P36" s="10">
        <v>0</v>
      </c>
      <c r="Q36" s="10">
        <f>SUM(F36:P36)</f>
        <v>0</v>
      </c>
    </row>
    <row r="37" spans="1:17" ht="6" customHeight="1" x14ac:dyDescent="0.55000000000000004">
      <c r="A37" s="8"/>
      <c r="B37" s="8"/>
      <c r="C37" s="8"/>
      <c r="D37" s="8"/>
      <c r="E37" s="8"/>
      <c r="F37" s="10"/>
      <c r="G37" s="10"/>
      <c r="H37" s="10"/>
      <c r="I37" s="10"/>
      <c r="J37" s="10"/>
      <c r="K37" s="10"/>
      <c r="L37" s="10"/>
      <c r="M37" s="10"/>
      <c r="N37" s="10"/>
      <c r="O37" s="10"/>
      <c r="P37" s="10"/>
      <c r="Q37" s="10"/>
    </row>
    <row r="38" spans="1:17" x14ac:dyDescent="0.55000000000000004">
      <c r="A38" s="8"/>
      <c r="B38" s="8" t="s">
        <v>34</v>
      </c>
      <c r="C38" s="8"/>
      <c r="D38" s="8"/>
      <c r="E38" s="8"/>
      <c r="F38" s="41"/>
      <c r="G38" s="10">
        <f>F38/-3</f>
        <v>0</v>
      </c>
      <c r="H38" s="10">
        <f>F38/-3</f>
        <v>0</v>
      </c>
      <c r="I38" s="10">
        <f>F38/-3</f>
        <v>0</v>
      </c>
      <c r="J38" s="10">
        <v>0</v>
      </c>
      <c r="K38" s="10">
        <v>0</v>
      </c>
      <c r="L38" s="10">
        <v>0</v>
      </c>
      <c r="M38" s="10">
        <v>0</v>
      </c>
      <c r="N38" s="10">
        <v>0</v>
      </c>
      <c r="O38" s="10">
        <v>0</v>
      </c>
      <c r="P38" s="10">
        <v>0</v>
      </c>
      <c r="Q38" s="10">
        <f>SUM(F38:P38)</f>
        <v>0</v>
      </c>
    </row>
    <row r="39" spans="1:17" ht="6" customHeight="1" x14ac:dyDescent="0.55000000000000004">
      <c r="A39" s="8"/>
      <c r="B39" s="8"/>
      <c r="C39" s="8"/>
      <c r="D39" s="8"/>
      <c r="E39" s="8"/>
      <c r="F39" s="10"/>
      <c r="G39" s="10"/>
      <c r="H39" s="10"/>
      <c r="I39" s="10"/>
      <c r="J39" s="10"/>
      <c r="K39" s="10"/>
      <c r="L39" s="10"/>
      <c r="M39" s="10"/>
      <c r="N39" s="10"/>
      <c r="O39" s="10"/>
      <c r="P39" s="10"/>
      <c r="Q39" s="10"/>
    </row>
    <row r="40" spans="1:17" x14ac:dyDescent="0.55000000000000004">
      <c r="A40" s="8"/>
      <c r="B40" s="8" t="s">
        <v>24</v>
      </c>
      <c r="C40" s="8"/>
      <c r="D40" s="8"/>
      <c r="E40" s="8"/>
      <c r="F40" s="10">
        <f t="shared" ref="F40:P40" si="9">+(F21+F23)*-1</f>
        <v>50000</v>
      </c>
      <c r="G40" s="10">
        <f t="shared" si="9"/>
        <v>4230.7692307692305</v>
      </c>
      <c r="H40" s="10">
        <f t="shared" si="9"/>
        <v>8461.538461538461</v>
      </c>
      <c r="I40" s="10">
        <f t="shared" si="9"/>
        <v>8461.538461538461</v>
      </c>
      <c r="J40" s="10">
        <f t="shared" si="9"/>
        <v>8461.538461538461</v>
      </c>
      <c r="K40" s="10">
        <f t="shared" si="9"/>
        <v>8461.538461538461</v>
      </c>
      <c r="L40" s="10">
        <f t="shared" si="9"/>
        <v>8461.538461538461</v>
      </c>
      <c r="M40" s="10">
        <f t="shared" si="9"/>
        <v>8461.538461538461</v>
      </c>
      <c r="N40" s="10">
        <f t="shared" si="9"/>
        <v>8461.538461538461</v>
      </c>
      <c r="O40" s="10">
        <f t="shared" si="9"/>
        <v>8461.538461538461</v>
      </c>
      <c r="P40" s="10">
        <f t="shared" si="9"/>
        <v>8461.538461538461</v>
      </c>
      <c r="Q40" s="10">
        <f>SUM(F40:P40)</f>
        <v>130384.61538461543</v>
      </c>
    </row>
    <row r="41" spans="1:17" ht="6" customHeight="1" x14ac:dyDescent="0.55000000000000004">
      <c r="A41" s="8"/>
      <c r="B41" s="8"/>
      <c r="C41" s="8"/>
      <c r="D41" s="8"/>
      <c r="E41" s="8"/>
      <c r="F41" s="8"/>
      <c r="G41" s="8"/>
      <c r="H41" s="8"/>
      <c r="I41" s="8"/>
      <c r="J41" s="8"/>
      <c r="K41" s="8"/>
      <c r="L41" s="8"/>
      <c r="M41" s="8"/>
      <c r="N41" s="8"/>
      <c r="O41" s="8"/>
      <c r="P41" s="8"/>
      <c r="Q41" s="8"/>
    </row>
    <row r="42" spans="1:17" ht="14.7" thickBot="1" x14ac:dyDescent="0.6">
      <c r="A42" s="9" t="s">
        <v>25</v>
      </c>
      <c r="B42" s="9"/>
      <c r="C42" s="9"/>
      <c r="D42" s="9"/>
      <c r="E42" s="9"/>
      <c r="F42" s="23">
        <f>F29+F32+F34+F36+F38+F40</f>
        <v>-272000</v>
      </c>
      <c r="G42" s="23">
        <f t="shared" ref="G42:Q42" si="10">G29+G32+G34+G36+G38+G40</f>
        <v>105000</v>
      </c>
      <c r="H42" s="23">
        <f t="shared" si="10"/>
        <v>108750</v>
      </c>
      <c r="I42" s="23">
        <f t="shared" si="10"/>
        <v>112640.1</v>
      </c>
      <c r="J42" s="23">
        <f t="shared" si="10"/>
        <v>116675.68620000003</v>
      </c>
      <c r="K42" s="23">
        <f t="shared" si="10"/>
        <v>120862.35545640002</v>
      </c>
      <c r="L42" s="23">
        <f t="shared" si="10"/>
        <v>125205.92360284083</v>
      </c>
      <c r="M42" s="23">
        <f t="shared" si="10"/>
        <v>129712.43410155934</v>
      </c>
      <c r="N42" s="23">
        <f t="shared" si="10"/>
        <v>134388.16703842787</v>
      </c>
      <c r="O42" s="23">
        <f t="shared" si="10"/>
        <v>139239.6484753729</v>
      </c>
      <c r="P42" s="23">
        <f t="shared" si="10"/>
        <v>144273.66017441472</v>
      </c>
      <c r="Q42" s="23">
        <f t="shared" si="10"/>
        <v>964747.97504901583</v>
      </c>
    </row>
    <row r="43" spans="1:17" ht="6" customHeight="1" x14ac:dyDescent="0.55000000000000004">
      <c r="A43" s="9"/>
      <c r="B43" s="9"/>
      <c r="C43" s="9"/>
      <c r="D43" s="9"/>
      <c r="E43" s="9"/>
      <c r="F43" s="24"/>
      <c r="G43" s="24"/>
      <c r="H43" s="24"/>
      <c r="I43" s="24"/>
      <c r="J43" s="24"/>
      <c r="K43" s="24"/>
      <c r="L43" s="24"/>
      <c r="M43" s="24"/>
      <c r="N43" s="24"/>
      <c r="O43" s="24"/>
      <c r="P43" s="24"/>
      <c r="Q43" s="24"/>
    </row>
    <row r="44" spans="1:17" x14ac:dyDescent="0.55000000000000004">
      <c r="A44" s="8" t="s">
        <v>26</v>
      </c>
      <c r="B44" s="9"/>
      <c r="C44" s="9"/>
      <c r="D44" s="9"/>
      <c r="E44" s="9"/>
      <c r="F44" s="10">
        <f>+F42</f>
        <v>-272000</v>
      </c>
      <c r="G44" s="10">
        <f t="shared" ref="G44:P44" si="11">+G42+F44</f>
        <v>-167000</v>
      </c>
      <c r="H44" s="10">
        <f t="shared" si="11"/>
        <v>-58250</v>
      </c>
      <c r="I44" s="10">
        <f t="shared" si="11"/>
        <v>54390.100000000006</v>
      </c>
      <c r="J44" s="10">
        <f t="shared" si="11"/>
        <v>171065.78620000003</v>
      </c>
      <c r="K44" s="10">
        <f t="shared" si="11"/>
        <v>291928.14165640005</v>
      </c>
      <c r="L44" s="10">
        <f t="shared" si="11"/>
        <v>417134.06525924092</v>
      </c>
      <c r="M44" s="10">
        <f t="shared" si="11"/>
        <v>546846.49936080026</v>
      </c>
      <c r="N44" s="10">
        <f t="shared" si="11"/>
        <v>681234.66639922815</v>
      </c>
      <c r="O44" s="10">
        <f t="shared" si="11"/>
        <v>820474.31487460108</v>
      </c>
      <c r="P44" s="10">
        <f t="shared" si="11"/>
        <v>964747.97504901583</v>
      </c>
      <c r="Q44" s="24"/>
    </row>
    <row r="45" spans="1:17" ht="6" customHeight="1" x14ac:dyDescent="0.55000000000000004">
      <c r="A45" s="8"/>
      <c r="B45" s="8"/>
      <c r="C45" s="8"/>
      <c r="D45" s="8"/>
      <c r="E45" s="8"/>
      <c r="F45" s="8"/>
      <c r="G45" s="8"/>
      <c r="H45" s="8"/>
      <c r="I45" s="8"/>
      <c r="J45" s="8"/>
      <c r="K45" s="8"/>
      <c r="L45" s="8"/>
      <c r="M45" s="8"/>
      <c r="N45" s="8"/>
      <c r="O45" s="8"/>
      <c r="P45" s="8"/>
      <c r="Q45" s="8"/>
    </row>
    <row r="46" spans="1:17" x14ac:dyDescent="0.55000000000000004">
      <c r="A46" s="8" t="s">
        <v>27</v>
      </c>
      <c r="B46" s="8"/>
      <c r="C46" s="8"/>
      <c r="D46" s="8"/>
      <c r="E46" s="25">
        <v>7.0000000000000007E-2</v>
      </c>
      <c r="F46" s="26">
        <f>1/((1+$E$46)^0)</f>
        <v>1</v>
      </c>
      <c r="G46" s="27">
        <f t="shared" ref="G46:P46" si="12">1/((1+$E$46)^G6)</f>
        <v>0.93457943925233644</v>
      </c>
      <c r="H46" s="27">
        <f t="shared" si="12"/>
        <v>0.87343872827321156</v>
      </c>
      <c r="I46" s="27">
        <f t="shared" si="12"/>
        <v>0.81629787689085187</v>
      </c>
      <c r="J46" s="27">
        <f t="shared" si="12"/>
        <v>0.7628952120475252</v>
      </c>
      <c r="K46" s="27">
        <f t="shared" si="12"/>
        <v>0.71298617948366838</v>
      </c>
      <c r="L46" s="27">
        <f t="shared" si="12"/>
        <v>0.66634222381651254</v>
      </c>
      <c r="M46" s="27">
        <f t="shared" si="12"/>
        <v>0.62274974188459109</v>
      </c>
      <c r="N46" s="27">
        <f t="shared" si="12"/>
        <v>0.5820091045650384</v>
      </c>
      <c r="O46" s="27">
        <f t="shared" si="12"/>
        <v>0.54393374258414806</v>
      </c>
      <c r="P46" s="27">
        <f t="shared" si="12"/>
        <v>0.5083492921347178</v>
      </c>
      <c r="Q46" s="8"/>
    </row>
    <row r="47" spans="1:17" ht="6" customHeight="1" thickBot="1" x14ac:dyDescent="0.6">
      <c r="A47" s="8"/>
      <c r="B47" s="8"/>
      <c r="C47" s="8"/>
      <c r="D47" s="8"/>
      <c r="E47" s="8"/>
      <c r="F47" s="8"/>
      <c r="G47" s="8"/>
      <c r="H47" s="8"/>
      <c r="I47" s="8"/>
      <c r="J47" s="8"/>
      <c r="K47" s="8"/>
      <c r="L47" s="8"/>
      <c r="M47" s="8"/>
      <c r="N47" s="8"/>
      <c r="O47" s="8"/>
      <c r="P47" s="8"/>
      <c r="Q47" s="8"/>
    </row>
    <row r="48" spans="1:17" ht="14.7" thickBot="1" x14ac:dyDescent="0.6">
      <c r="A48" s="9" t="s">
        <v>28</v>
      </c>
      <c r="B48" s="8"/>
      <c r="C48" s="8"/>
      <c r="D48" s="8"/>
      <c r="E48" s="8"/>
      <c r="F48" s="24">
        <f t="shared" ref="F48:P48" si="13">+F46*F42</f>
        <v>-272000</v>
      </c>
      <c r="G48" s="24">
        <f t="shared" si="13"/>
        <v>98130.841121495323</v>
      </c>
      <c r="H48" s="24">
        <f t="shared" si="13"/>
        <v>94986.461699711756</v>
      </c>
      <c r="I48" s="24">
        <f t="shared" si="13"/>
        <v>91947.874482773244</v>
      </c>
      <c r="J48" s="24">
        <f t="shared" si="13"/>
        <v>89011.322364339532</v>
      </c>
      <c r="K48" s="24">
        <f t="shared" si="13"/>
        <v>86173.189060255754</v>
      </c>
      <c r="L48" s="24">
        <f t="shared" si="13"/>
        <v>83429.99356851734</v>
      </c>
      <c r="M48" s="24">
        <f t="shared" si="13"/>
        <v>80778.384855968106</v>
      </c>
      <c r="N48" s="24">
        <f t="shared" si="13"/>
        <v>78215.136762172217</v>
      </c>
      <c r="O48" s="24">
        <f t="shared" si="13"/>
        <v>75737.143111310754</v>
      </c>
      <c r="P48" s="24">
        <f t="shared" si="13"/>
        <v>73341.413023348548</v>
      </c>
      <c r="Q48" s="28">
        <f>SUM(F48:P48)</f>
        <v>579751.76004989259</v>
      </c>
    </row>
    <row r="49" spans="1:17" ht="6" customHeight="1" thickBot="1" x14ac:dyDescent="0.6">
      <c r="A49" s="9"/>
      <c r="B49" s="8"/>
      <c r="C49" s="8"/>
      <c r="D49" s="8"/>
      <c r="E49" s="8"/>
      <c r="F49" s="8"/>
      <c r="G49" s="8"/>
      <c r="H49" s="8"/>
      <c r="I49" s="8"/>
      <c r="J49" s="8"/>
      <c r="K49" s="8"/>
      <c r="L49" s="8"/>
      <c r="M49" s="8"/>
      <c r="N49" s="8"/>
      <c r="O49" s="8"/>
      <c r="P49" s="8"/>
      <c r="Q49" s="9"/>
    </row>
    <row r="50" spans="1:17" ht="14.7" thickBot="1" x14ac:dyDescent="0.6">
      <c r="A50" s="9" t="s">
        <v>29</v>
      </c>
      <c r="B50" s="8"/>
      <c r="C50" s="8"/>
      <c r="D50" s="8"/>
      <c r="E50" s="8"/>
      <c r="F50" s="8"/>
      <c r="G50" s="8"/>
      <c r="H50" s="8"/>
      <c r="I50" s="8"/>
      <c r="J50" s="8"/>
      <c r="K50" s="8"/>
      <c r="L50" s="8"/>
      <c r="M50" s="8"/>
      <c r="N50" s="8"/>
      <c r="O50" s="8"/>
      <c r="P50" s="8"/>
      <c r="Q50" s="29">
        <f>+IRR(F42:P42,0.11)</f>
        <v>0.40331570638959224</v>
      </c>
    </row>
    <row r="51" spans="1:17" ht="6" customHeight="1" thickBot="1" x14ac:dyDescent="0.6">
      <c r="A51" s="9"/>
      <c r="B51" s="8"/>
      <c r="C51" s="8"/>
      <c r="D51" s="8"/>
      <c r="E51" s="8"/>
      <c r="F51" s="8"/>
      <c r="G51" s="8"/>
      <c r="H51" s="8"/>
      <c r="I51" s="8"/>
      <c r="J51" s="8"/>
      <c r="K51" s="8"/>
      <c r="L51" s="8"/>
      <c r="M51" s="8"/>
      <c r="N51" s="8"/>
      <c r="O51" s="8"/>
      <c r="P51" s="8"/>
      <c r="Q51" s="9"/>
    </row>
    <row r="52" spans="1:17" s="31" customFormat="1" ht="14.7" thickBot="1" x14ac:dyDescent="0.6">
      <c r="A52" s="30" t="s">
        <v>30</v>
      </c>
      <c r="G52" s="32"/>
      <c r="H52" s="32"/>
      <c r="I52" s="32"/>
      <c r="J52" s="32"/>
      <c r="K52" s="32"/>
      <c r="L52" s="32"/>
      <c r="M52" s="32"/>
      <c r="N52" s="32"/>
      <c r="O52" s="32"/>
      <c r="P52" s="32"/>
      <c r="Q52" s="33">
        <f>(F42*-1)/G19</f>
        <v>2.5904761904761906</v>
      </c>
    </row>
    <row r="53" spans="1:17" hidden="1" x14ac:dyDescent="0.55000000000000004">
      <c r="A53" s="34"/>
      <c r="G53" s="35">
        <f t="shared" ref="G53:P53" si="14">G55/G25</f>
        <v>-1.6992366412213742</v>
      </c>
      <c r="H53" s="35">
        <f t="shared" si="14"/>
        <v>-0.62301054650047949</v>
      </c>
      <c r="I53" s="35">
        <f t="shared" si="14"/>
        <v>0.48147459543019794</v>
      </c>
      <c r="J53" s="35">
        <f t="shared" si="14"/>
        <v>1.5417116934880608</v>
      </c>
      <c r="K53" s="35">
        <f t="shared" si="14"/>
        <v>2.559566559367473</v>
      </c>
      <c r="L53" s="35">
        <f t="shared" si="14"/>
        <v>3.5368150299366543</v>
      </c>
      <c r="M53" s="35">
        <f t="shared" si="14"/>
        <v>4.4751482227479045</v>
      </c>
      <c r="N53" s="35">
        <f t="shared" si="14"/>
        <v>5.3761774202911159</v>
      </c>
      <c r="O53" s="35">
        <f t="shared" si="14"/>
        <v>6.2414386135224387</v>
      </c>
      <c r="P53" s="35">
        <f t="shared" si="14"/>
        <v>7.0723967323689978</v>
      </c>
    </row>
    <row r="54" spans="1:17" ht="6" customHeight="1" thickBot="1" x14ac:dyDescent="0.6">
      <c r="A54" s="34"/>
      <c r="G54" s="35"/>
      <c r="H54" s="35"/>
      <c r="I54" s="35"/>
      <c r="J54" s="35"/>
      <c r="K54" s="35"/>
      <c r="L54" s="35"/>
      <c r="M54" s="35"/>
      <c r="N54" s="35"/>
      <c r="O54" s="35"/>
      <c r="P54" s="35"/>
    </row>
    <row r="55" spans="1:17" s="30" customFormat="1" ht="14.7" customHeight="1" thickBot="1" x14ac:dyDescent="0.6">
      <c r="A55" s="30" t="s">
        <v>31</v>
      </c>
      <c r="F55" s="36">
        <f>F48</f>
        <v>-272000</v>
      </c>
      <c r="G55" s="37">
        <f>F55+G25+G36+G38</f>
        <v>-171230.76923076925</v>
      </c>
      <c r="H55" s="37">
        <f t="shared" ref="H55:P55" si="15">G55+H19+H36+H38</f>
        <v>-62480.769230769249</v>
      </c>
      <c r="I55" s="37">
        <f t="shared" si="15"/>
        <v>50159.330769230757</v>
      </c>
      <c r="J55" s="37">
        <f t="shared" si="15"/>
        <v>166835.01696923078</v>
      </c>
      <c r="K55" s="37">
        <f t="shared" si="15"/>
        <v>287697.37242563081</v>
      </c>
      <c r="L55" s="37">
        <f t="shared" si="15"/>
        <v>412903.29602847167</v>
      </c>
      <c r="M55" s="37">
        <f t="shared" si="15"/>
        <v>542615.73013003101</v>
      </c>
      <c r="N55" s="37">
        <f t="shared" si="15"/>
        <v>677003.89716845891</v>
      </c>
      <c r="O55" s="37">
        <f t="shared" si="15"/>
        <v>816243.54564383184</v>
      </c>
      <c r="P55" s="37">
        <f t="shared" si="15"/>
        <v>960517.20581824658</v>
      </c>
      <c r="Q55" s="38">
        <f>P55</f>
        <v>960517.20581824658</v>
      </c>
    </row>
    <row r="56" spans="1:17" x14ac:dyDescent="0.55000000000000004">
      <c r="F56" s="10"/>
      <c r="G56" s="39"/>
      <c r="H56" s="39"/>
      <c r="I56" s="39"/>
      <c r="J56" s="39"/>
      <c r="K56" s="39"/>
      <c r="L56" s="39"/>
      <c r="M56" s="39"/>
      <c r="N56" s="39"/>
      <c r="O56" s="39"/>
      <c r="P56" s="39"/>
    </row>
    <row r="57" spans="1:17" ht="16.5" hidden="1" customHeight="1" x14ac:dyDescent="0.55000000000000004">
      <c r="A57" s="8"/>
      <c r="B57" s="8"/>
      <c r="C57" s="8"/>
      <c r="D57" s="8"/>
      <c r="E57" s="8"/>
      <c r="F57" s="8"/>
      <c r="G57" s="8"/>
      <c r="H57" s="8"/>
      <c r="I57" s="8"/>
      <c r="J57" s="8"/>
      <c r="K57" s="8"/>
      <c r="L57" s="8"/>
      <c r="M57" s="8"/>
      <c r="N57" s="8"/>
      <c r="O57" s="8"/>
      <c r="P57" s="8"/>
    </row>
    <row r="58" spans="1:17" ht="36" customHeight="1" x14ac:dyDescent="0.55000000000000004">
      <c r="A58" s="47" t="s">
        <v>32</v>
      </c>
      <c r="B58" s="47"/>
      <c r="C58" s="47"/>
      <c r="D58" s="47"/>
      <c r="E58" s="47"/>
      <c r="F58" s="47"/>
      <c r="G58" s="47"/>
      <c r="H58" s="47"/>
      <c r="I58" s="47"/>
      <c r="J58" s="47"/>
      <c r="K58" s="47"/>
      <c r="L58" s="47"/>
      <c r="M58" s="47"/>
      <c r="N58" s="48"/>
      <c r="O58" s="40"/>
      <c r="P58" s="40"/>
      <c r="Q58" s="40"/>
    </row>
    <row r="59" spans="1:17" x14ac:dyDescent="0.55000000000000004">
      <c r="A59" s="49"/>
      <c r="B59" s="49"/>
      <c r="C59" s="49"/>
      <c r="D59" s="49"/>
      <c r="E59" s="49"/>
      <c r="F59" s="49"/>
      <c r="G59" s="49"/>
      <c r="H59" s="49"/>
      <c r="I59" s="49"/>
      <c r="J59" s="49"/>
      <c r="K59" s="49"/>
      <c r="L59" s="49"/>
      <c r="M59" s="49"/>
      <c r="N59" s="50"/>
    </row>
  </sheetData>
  <mergeCells count="5">
    <mergeCell ref="O2:Q2"/>
    <mergeCell ref="B3:C3"/>
    <mergeCell ref="L3:Q3"/>
    <mergeCell ref="G5:P5"/>
    <mergeCell ref="A58:N5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TaxRate_1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dc:creator>
  <cp:lastModifiedBy>Ron</cp:lastModifiedBy>
  <dcterms:created xsi:type="dcterms:W3CDTF">2022-12-28T14:08:58Z</dcterms:created>
  <dcterms:modified xsi:type="dcterms:W3CDTF">2023-02-05T22:30:03Z</dcterms:modified>
</cp:coreProperties>
</file>